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dipaola\Documents\DC ICTA\Webinars\11.30.2023 - Determining Cost of Provider Care\"/>
    </mc:Choice>
  </mc:AlternateContent>
  <xr:revisionPtr revIDLastSave="0" documentId="8_{B184B11E-76E2-4F59-97E9-A2ECB4088AC6}" xr6:coauthVersionLast="47" xr6:coauthVersionMax="47" xr10:uidLastSave="{00000000-0000-0000-0000-000000000000}"/>
  <bookViews>
    <workbookView xWindow="-108" yWindow="-108" windowWidth="23256" windowHeight="12576" xr2:uid="{13AEF3AA-7F10-4C4D-BEDA-73BE240CE7B6}"/>
  </bookViews>
  <sheets>
    <sheet name="Financial Evaluation " sheetId="2" r:id="rId1"/>
    <sheet name="Assumptions Calculations" sheetId="1" r:id="rId2"/>
    <sheet name="Notes 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2" l="1"/>
  <c r="E11" i="1"/>
  <c r="E10" i="1"/>
  <c r="E12" i="1" s="1"/>
  <c r="E33" i="2" s="1"/>
  <c r="E9" i="1"/>
  <c r="E8" i="1"/>
  <c r="F11" i="1"/>
  <c r="F10" i="1"/>
  <c r="F12" i="1" s="1"/>
  <c r="E34" i="2" s="1"/>
  <c r="F9" i="1"/>
  <c r="F8" i="1"/>
  <c r="D12" i="1"/>
  <c r="C12" i="1"/>
  <c r="H27" i="1"/>
  <c r="C17" i="1"/>
  <c r="D67" i="1" s="1"/>
  <c r="F62" i="2"/>
  <c r="F60" i="2"/>
  <c r="F59" i="2"/>
  <c r="F47" i="1" l="1"/>
  <c r="G41" i="1"/>
  <c r="F43" i="1"/>
  <c r="F44" i="1"/>
  <c r="F45" i="1"/>
  <c r="F46" i="1"/>
  <c r="G42" i="1"/>
  <c r="G46" i="1"/>
  <c r="G47" i="1"/>
  <c r="F41" i="1"/>
  <c r="H41" i="1"/>
  <c r="F42" i="1"/>
  <c r="G43" i="1"/>
  <c r="G44" i="1"/>
  <c r="G45" i="1"/>
  <c r="D66" i="1"/>
  <c r="E38" i="2" l="1"/>
  <c r="E23" i="2"/>
  <c r="E20" i="2"/>
  <c r="E19" i="2"/>
  <c r="E18" i="2"/>
  <c r="E17" i="2"/>
  <c r="E10" i="2"/>
  <c r="L47" i="1"/>
  <c r="L46" i="1"/>
  <c r="L43" i="1"/>
  <c r="K47" i="1"/>
  <c r="K46" i="1"/>
  <c r="K45" i="1"/>
  <c r="K44" i="1"/>
  <c r="K43" i="1"/>
  <c r="K42" i="1"/>
  <c r="K41" i="1"/>
  <c r="I33" i="1"/>
  <c r="I47" i="1" s="1"/>
  <c r="I32" i="1"/>
  <c r="I46" i="1" s="1"/>
  <c r="I31" i="1"/>
  <c r="I45" i="1" s="1"/>
  <c r="I30" i="1"/>
  <c r="I44" i="1" s="1"/>
  <c r="I29" i="1"/>
  <c r="I43" i="1" s="1"/>
  <c r="I28" i="1"/>
  <c r="I42" i="1" s="1"/>
  <c r="I27" i="1"/>
  <c r="I41" i="1" s="1"/>
  <c r="H33" i="1"/>
  <c r="H47" i="1" s="1"/>
  <c r="H32" i="1"/>
  <c r="H46" i="1" s="1"/>
  <c r="H31" i="1"/>
  <c r="H45" i="1" s="1"/>
  <c r="H30" i="1"/>
  <c r="H44" i="1" s="1"/>
  <c r="H29" i="1"/>
  <c r="H43" i="1" s="1"/>
  <c r="H28" i="1"/>
  <c r="H42" i="1" s="1"/>
  <c r="L31" i="1"/>
  <c r="L45" i="1" s="1"/>
  <c r="L30" i="1"/>
  <c r="L44" i="1" s="1"/>
  <c r="L29" i="1"/>
  <c r="L28" i="1"/>
  <c r="L42" i="1" s="1"/>
  <c r="L27" i="1"/>
  <c r="L41" i="1" s="1"/>
  <c r="D47" i="1"/>
  <c r="D46" i="1"/>
  <c r="D45" i="1"/>
  <c r="D44" i="1"/>
  <c r="D43" i="1"/>
  <c r="D42" i="1"/>
  <c r="D41" i="1"/>
  <c r="B47" i="1"/>
  <c r="B46" i="1"/>
  <c r="A47" i="1"/>
  <c r="B45" i="1"/>
  <c r="B44" i="1"/>
  <c r="B43" i="1"/>
  <c r="B42" i="1"/>
  <c r="B41" i="1"/>
  <c r="A46" i="1"/>
  <c r="A45" i="1"/>
  <c r="A44" i="1"/>
  <c r="A43" i="1"/>
  <c r="A42" i="1"/>
  <c r="A41" i="1"/>
  <c r="J20" i="1"/>
  <c r="C35" i="1"/>
  <c r="M47" i="1" l="1"/>
  <c r="M41" i="1"/>
  <c r="M42" i="1"/>
  <c r="M43" i="1"/>
  <c r="M44" i="1"/>
  <c r="L49" i="1"/>
  <c r="M45" i="1"/>
  <c r="H49" i="1"/>
  <c r="M46" i="1"/>
  <c r="E21" i="2"/>
  <c r="I49" i="1"/>
  <c r="J42" i="1"/>
  <c r="J41" i="1"/>
  <c r="J43" i="1"/>
  <c r="F49" i="1"/>
  <c r="J44" i="1"/>
  <c r="K49" i="1"/>
  <c r="J46" i="1"/>
  <c r="J47" i="1"/>
  <c r="G49" i="1"/>
  <c r="J45" i="1"/>
  <c r="E36" i="2"/>
  <c r="D49" i="1"/>
  <c r="E12" i="2" s="1"/>
  <c r="M49" i="1" l="1"/>
  <c r="D57" i="1" s="1"/>
  <c r="E39" i="2" s="1"/>
  <c r="E41" i="2" s="1"/>
  <c r="E43" i="2" s="1"/>
  <c r="J49" i="1"/>
  <c r="F50" i="1"/>
  <c r="G50" i="1"/>
  <c r="E11" i="2"/>
  <c r="I50" i="1"/>
  <c r="H50" i="1"/>
  <c r="K50" i="1" l="1"/>
  <c r="L50" i="1"/>
  <c r="D65" i="1"/>
  <c r="D68" i="1" s="1"/>
  <c r="C49" i="2" s="1"/>
  <c r="D49" i="2" s="1"/>
  <c r="F43" i="2"/>
  <c r="L51" i="1"/>
  <c r="H49" i="2"/>
  <c r="E26" i="2"/>
  <c r="E29" i="2" s="1"/>
  <c r="D73" i="1"/>
  <c r="C51" i="2" s="1"/>
  <c r="E51" i="2" s="1"/>
  <c r="F51" i="2" s="1"/>
  <c r="J50" i="1"/>
  <c r="M50" i="1"/>
  <c r="E45" i="2" l="1"/>
  <c r="E54" i="2" s="1"/>
  <c r="F29" i="2"/>
  <c r="E52" i="2"/>
  <c r="F52" i="2" s="1"/>
  <c r="E55" i="2" l="1"/>
  <c r="F54" i="2"/>
  <c r="E46" i="2"/>
  <c r="F45" i="2"/>
  <c r="E57" i="2"/>
  <c r="G57" i="2" s="1"/>
</calcChain>
</file>

<file path=xl/sharedStrings.xml><?xml version="1.0" encoding="utf-8"?>
<sst xmlns="http://schemas.openxmlformats.org/spreadsheetml/2006/main" count="187" uniqueCount="138">
  <si>
    <t>INTEGRATED CARE DC</t>
  </si>
  <si>
    <t>PROVIDER COST DETERMINATION TOOL</t>
  </si>
  <si>
    <t>EFFECTIVE 12/1/2023</t>
  </si>
  <si>
    <t xml:space="preserve">Fringe Benefit Percentage </t>
  </si>
  <si>
    <t xml:space="preserve">Internal Determined Percentage </t>
  </si>
  <si>
    <t xml:space="preserve">Internal or Internet </t>
  </si>
  <si>
    <t xml:space="preserve">Psychologist </t>
  </si>
  <si>
    <t xml:space="preserve">Source/Description </t>
  </si>
  <si>
    <t xml:space="preserve">Total </t>
  </si>
  <si>
    <t>RVU</t>
  </si>
  <si>
    <t>Visits %</t>
  </si>
  <si>
    <t xml:space="preserve">Medicaid </t>
  </si>
  <si>
    <t>Rate</t>
  </si>
  <si>
    <t>https://www.salary.com/</t>
  </si>
  <si>
    <t xml:space="preserve">Psychologist Washington DC </t>
  </si>
  <si>
    <t xml:space="preserve">Provider </t>
  </si>
  <si>
    <t xml:space="preserve">Non Provider </t>
  </si>
  <si>
    <t xml:space="preserve">CPT or HCPCS/Modifier </t>
  </si>
  <si>
    <t xml:space="preserve">Medicare </t>
  </si>
  <si>
    <t>Commercial</t>
  </si>
  <si>
    <t xml:space="preserve">Self Pay </t>
  </si>
  <si>
    <t xml:space="preserve">Payer Mix </t>
  </si>
  <si>
    <t xml:space="preserve">Rate as a % of Medicare </t>
  </si>
  <si>
    <t xml:space="preserve">Actual or Projected </t>
  </si>
  <si>
    <t>FTE(s)</t>
  </si>
  <si>
    <t>Description</t>
  </si>
  <si>
    <t xml:space="preserve">Salary </t>
  </si>
  <si>
    <t xml:space="preserve">Allied Support </t>
  </si>
  <si>
    <t xml:space="preserve">Other </t>
  </si>
  <si>
    <t>Work</t>
  </si>
  <si>
    <t>Medicare</t>
  </si>
  <si>
    <t>PE/Med Mal</t>
  </si>
  <si>
    <t xml:space="preserve">Washington DC Medicaid Fee Schedule </t>
  </si>
  <si>
    <t xml:space="preserve">Net Patient Revenue </t>
  </si>
  <si>
    <t>Hour</t>
  </si>
  <si>
    <t xml:space="preserve">Hours </t>
  </si>
  <si>
    <t>RVUs</t>
  </si>
  <si>
    <t>Should Always be 100%</t>
  </si>
  <si>
    <t xml:space="preserve">Per Managed Care Contracting  /Discounted Self Pay Fee Schedule </t>
  </si>
  <si>
    <t xml:space="preserve">FINANCIAL EVALUATION </t>
  </si>
  <si>
    <t xml:space="preserve">  Medicare</t>
  </si>
  <si>
    <t xml:space="preserve">  Medicaid </t>
  </si>
  <si>
    <t xml:space="preserve">  Commercial </t>
  </si>
  <si>
    <t xml:space="preserve">  Self Pay/Charity </t>
  </si>
  <si>
    <t xml:space="preserve">Full Time Equivalents </t>
  </si>
  <si>
    <t xml:space="preserve">Other Operating Revenue </t>
  </si>
  <si>
    <t xml:space="preserve">Total Operating Revenue </t>
  </si>
  <si>
    <t xml:space="preserve">Psych Diagnostic Evaluation </t>
  </si>
  <si>
    <t xml:space="preserve">Psychotherapy 30 Minutes </t>
  </si>
  <si>
    <t xml:space="preserve">Psychotherapy 45 Minutes </t>
  </si>
  <si>
    <t xml:space="preserve">Psychotherapy 60 Minutes </t>
  </si>
  <si>
    <t>Family Psychoth w Patient 50min</t>
  </si>
  <si>
    <t>Total</t>
  </si>
  <si>
    <t xml:space="preserve">Documentation Hrs/Other </t>
  </si>
  <si>
    <t>https://www.cms.gov/medicare/physician-fee-schedule/search/license-agreement?destination=/medicare/physician-fee-schedule/search%3F</t>
  </si>
  <si>
    <t>CMS; Locality; DC+MD/VA Suburg; Non Fac</t>
  </si>
  <si>
    <t>MHRS</t>
  </si>
  <si>
    <t>11/1/23 Rate</t>
  </si>
  <si>
    <t xml:space="preserve">Clinical Care Coordination </t>
  </si>
  <si>
    <t>T1017</t>
  </si>
  <si>
    <t>H0004/CR/HF</t>
  </si>
  <si>
    <t xml:space="preserve">Behavioral Health Counseling (SUD) </t>
  </si>
  <si>
    <t>https://www.dc-medicaid.com/dcwebportal/nonsecure/feeScheduleInquiry</t>
  </si>
  <si>
    <t xml:space="preserve">  Visits </t>
  </si>
  <si>
    <r>
      <t xml:space="preserve">Volume: </t>
    </r>
    <r>
      <rPr>
        <b/>
        <u/>
        <sz val="11"/>
        <color theme="1"/>
        <rFont val="Calibri"/>
        <family val="2"/>
        <scheme val="minor"/>
      </rPr>
      <t xml:space="preserve"> </t>
    </r>
  </si>
  <si>
    <t xml:space="preserve">  Work RVUs </t>
  </si>
  <si>
    <t xml:space="preserve">  Productive Hours </t>
  </si>
  <si>
    <t xml:space="preserve">Direct Costs </t>
  </si>
  <si>
    <t xml:space="preserve">  Provider Salary </t>
  </si>
  <si>
    <t xml:space="preserve">  Provider Fringe </t>
  </si>
  <si>
    <t xml:space="preserve">  Other Salary Related Cost </t>
  </si>
  <si>
    <t xml:space="preserve">Total Provider Salary Cost </t>
  </si>
  <si>
    <t xml:space="preserve">  Liability Insurance </t>
  </si>
  <si>
    <t xml:space="preserve">  Other Non-Salary Related Costs </t>
  </si>
  <si>
    <t xml:space="preserve">   Supplies </t>
  </si>
  <si>
    <t xml:space="preserve">Total Non-Salary Related Cost </t>
  </si>
  <si>
    <t xml:space="preserve">Per Visit </t>
  </si>
  <si>
    <t xml:space="preserve">2% of Total RVUs *$32.74 </t>
  </si>
  <si>
    <t xml:space="preserve">Total Direct Costs </t>
  </si>
  <si>
    <t>Benchmark</t>
  </si>
  <si>
    <t xml:space="preserve">Indirect Costs </t>
  </si>
  <si>
    <t>Direct Cost Program/Evaluation</t>
  </si>
  <si>
    <t>Mulitiplied Total Indirect Costs</t>
  </si>
  <si>
    <t xml:space="preserve">Allocated Indirect Costs </t>
  </si>
  <si>
    <t xml:space="preserve">Overall Allocation </t>
  </si>
  <si>
    <t xml:space="preserve">Discreet Allocation </t>
  </si>
  <si>
    <t xml:space="preserve">  Management Staff </t>
  </si>
  <si>
    <t xml:space="preserve">  Legal/Accounting </t>
  </si>
  <si>
    <t xml:space="preserve">  Human Resources</t>
  </si>
  <si>
    <t xml:space="preserve">FTES </t>
  </si>
  <si>
    <t xml:space="preserve">  Billing, Coding,  and Collections </t>
  </si>
  <si>
    <t xml:space="preserve">  Facilites i.e., rent, utilities </t>
  </si>
  <si>
    <t xml:space="preserve">Square Footage </t>
  </si>
  <si>
    <t xml:space="preserve">3%-5% of Net Revenue </t>
  </si>
  <si>
    <t>Net Margin &lt;Loss&gt;</t>
  </si>
  <si>
    <t>Contribution Margin &lt;Loss&gt;</t>
  </si>
  <si>
    <t>Net Margin &lt;Loss&gt; %</t>
  </si>
  <si>
    <t xml:space="preserve">Key Financial Drivers </t>
  </si>
  <si>
    <t xml:space="preserve">  Payer Mix </t>
  </si>
  <si>
    <t xml:space="preserve">  Salary </t>
  </si>
  <si>
    <t>Increase</t>
  </si>
  <si>
    <t xml:space="preserve">Commercial to Medicad </t>
  </si>
  <si>
    <t xml:space="preserve">Increase </t>
  </si>
  <si>
    <t xml:space="preserve">  Volume</t>
  </si>
  <si>
    <t xml:space="preserve">  Medical Malpractice Insurance </t>
  </si>
  <si>
    <t>MGMA Median and 75th Percentile for 2022</t>
  </si>
  <si>
    <t xml:space="preserve">Full time equivalent productive hours </t>
  </si>
  <si>
    <t>Computed PE RVUs as a % of Total RVUs</t>
  </si>
  <si>
    <t>Total Costs or Direct Costs</t>
  </si>
  <si>
    <t>Change</t>
  </si>
  <si>
    <t xml:space="preserve">  Payer Rate </t>
  </si>
  <si>
    <t>Payer Rate Increase</t>
  </si>
  <si>
    <t>All Payer Increase</t>
  </si>
  <si>
    <t xml:space="preserve">Examples: Grants and Value Based Payments </t>
  </si>
  <si>
    <t>SOURCES AND COMMENTS</t>
  </si>
  <si>
    <t xml:space="preserve">Collection costs based upon a percentage </t>
  </si>
  <si>
    <t>Discrete Allocation;</t>
  </si>
  <si>
    <t>Overall Allocation or</t>
  </si>
  <si>
    <t xml:space="preserve">Total Non-Salary Related Direct Costs </t>
  </si>
  <si>
    <t>Per Unit</t>
  </si>
  <si>
    <t>Contribution Margin &lt;Loss&gt; %</t>
  </si>
  <si>
    <t xml:space="preserve">Total Direct and Indirect Cost </t>
  </si>
  <si>
    <t>Volume Annual Visits Provider 1</t>
  </si>
  <si>
    <t>Fringe Benefits</t>
  </si>
  <si>
    <t>Salary Expense</t>
  </si>
  <si>
    <t xml:space="preserve">Payer Mix changes should always result in the Total equaling to 100%. </t>
  </si>
  <si>
    <t xml:space="preserve">Commercial and Self Pay payer rates are determined as a factor (variable) of Medicare. Confer with Managed Care to determine appropriate factors.  </t>
  </si>
  <si>
    <t>Reimbursement Per Visit</t>
  </si>
  <si>
    <t>Relative Values Units are computed using Medicare RVU assignment for each CPT code.</t>
  </si>
  <si>
    <t>Supplies, Liability Insurance and Other are Entity specific.</t>
  </si>
  <si>
    <t xml:space="preserve">Indirect Cost Total allocation is on the basis of Direct Cost of business line or program to Total Direct Cost of the Entity multiplied by Total Indirect Cost.  </t>
  </si>
  <si>
    <t>Discreet Allocation allows for specific allocation of certain indirect costs with varying methodologies.</t>
  </si>
  <si>
    <t>A variable exists for Payer rate increases &lt;decreases&gt;  and is used in the calculation of payer specific net patient revenue.</t>
  </si>
  <si>
    <t xml:space="preserve">Payer rates are from current Medicare and Medicaid fee schedules (websites provided).  </t>
  </si>
  <si>
    <t>Volume (visits) are allocated to applicable Provider types based upon internal records.  The Total Allocation % should always equal 100%.</t>
  </si>
  <si>
    <t>Volume; Current experience or entity computed (can be added by entity as a separate TAB).</t>
  </si>
  <si>
    <t>FTE, Salary, and Fringe Benefit rates are variables associated with volume or support to Provider staff.</t>
  </si>
  <si>
    <t xml:space="preserve">Any yellow highlighted cell in the Assumptions Calculations TAB is considered a variable and if changed will impact the Financial Evaluation.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</si>
</sst>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"/>
    <numFmt numFmtId="165" formatCode="&quot;$&quot;#,##0"/>
    <numFmt numFmtId="166" formatCode="&quot;$&quot;#,##0.00"/>
    <numFmt numFmtId="167" formatCode="0.000"/>
    <numFmt numFmtId="168" formatCode="0.0"/>
    <numFmt numFmtId="169" formatCode="#,##0.0"/>
  </numFmts>
  <fonts count="5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0" fontId="0" fillId="2" borderId="0" xfId="0" applyNumberFormat="1" applyFill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2" fillId="0" borderId="0" xfId="0" applyFont="1"/>
    <xf numFmtId="165" fontId="0" fillId="0" borderId="0" xfId="0" applyNumberFormat="1" applyAlignment="1">
      <alignment horizontal="center"/>
    </xf>
    <xf numFmtId="0" fontId="1" fillId="0" borderId="0" xfId="0" applyFont="1"/>
    <xf numFmtId="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9" fontId="0" fillId="2" borderId="0" xfId="0" applyNumberFormat="1" applyFill="1" applyAlignment="1">
      <alignment horizontal="center"/>
    </xf>
    <xf numFmtId="0" fontId="1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4" fillId="0" borderId="0" xfId="1"/>
    <xf numFmtId="166" fontId="0" fillId="0" borderId="0" xfId="0" applyNumberFormat="1" applyAlignment="1">
      <alignment horizontal="center"/>
    </xf>
    <xf numFmtId="165" fontId="0" fillId="0" borderId="0" xfId="0" applyNumberFormat="1"/>
    <xf numFmtId="167" fontId="0" fillId="0" borderId="0" xfId="0" applyNumberFormat="1" applyAlignment="1">
      <alignment horizontal="center"/>
    </xf>
    <xf numFmtId="0" fontId="3" fillId="0" borderId="0" xfId="0" applyFont="1"/>
    <xf numFmtId="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165" fontId="2" fillId="0" borderId="0" xfId="0" applyNumberFormat="1" applyFont="1" applyAlignment="1">
      <alignment horizontal="center"/>
    </xf>
    <xf numFmtId="2" fontId="0" fillId="2" borderId="0" xfId="0" applyNumberFormat="1" applyFill="1" applyAlignment="1">
      <alignment horizontal="center"/>
    </xf>
    <xf numFmtId="0" fontId="2" fillId="0" borderId="0" xfId="0" applyFont="1" applyAlignment="1">
      <alignment horizontal="center"/>
    </xf>
    <xf numFmtId="165" fontId="2" fillId="2" borderId="0" xfId="0" applyNumberFormat="1" applyFont="1" applyFill="1" applyAlignment="1">
      <alignment horizontal="center"/>
    </xf>
    <xf numFmtId="166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165" fontId="0" fillId="2" borderId="0" xfId="0" applyNumberFormat="1" applyFill="1"/>
    <xf numFmtId="166" fontId="1" fillId="0" borderId="0" xfId="0" applyNumberFormat="1" applyFont="1" applyAlignment="1">
      <alignment horizontal="center"/>
    </xf>
    <xf numFmtId="166" fontId="1" fillId="3" borderId="0" xfId="0" applyNumberFormat="1" applyFont="1" applyFill="1" applyAlignment="1">
      <alignment horizontal="center"/>
    </xf>
    <xf numFmtId="166" fontId="0" fillId="3" borderId="0" xfId="0" applyNumberFormat="1" applyFill="1" applyAlignment="1">
      <alignment horizontal="center"/>
    </xf>
    <xf numFmtId="169" fontId="0" fillId="2" borderId="0" xfId="0" applyNumberFormat="1" applyFill="1" applyAlignment="1">
      <alignment horizontal="center"/>
    </xf>
    <xf numFmtId="169" fontId="1" fillId="0" borderId="0" xfId="0" applyNumberFormat="1" applyFont="1" applyAlignment="1">
      <alignment horizontal="center"/>
    </xf>
    <xf numFmtId="168" fontId="0" fillId="2" borderId="0" xfId="0" applyNumberFormat="1" applyFill="1" applyAlignment="1">
      <alignment horizontal="center"/>
    </xf>
    <xf numFmtId="168" fontId="1" fillId="2" borderId="0" xfId="0" applyNumberFormat="1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dc-medicaid.com/dcwebportal/nonsecure/feeScheduleInquiry" TargetMode="External"/><Relationship Id="rId1" Type="http://schemas.openxmlformats.org/officeDocument/2006/relationships/hyperlink" Target="https://www.cms.gov/medicare/physician-fee-schedule/search/license-agreement?destination=/medicare/physician-fee-schedule/search%3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D7A37-36E4-4472-9555-0048241025DC}">
  <sheetPr>
    <pageSetUpPr fitToPage="1"/>
  </sheetPr>
  <dimension ref="A2:M62"/>
  <sheetViews>
    <sheetView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E12" sqref="E12"/>
    </sheetView>
  </sheetViews>
  <sheetFormatPr defaultRowHeight="14.4" x14ac:dyDescent="0.3"/>
  <cols>
    <col min="1" max="1" width="31.44140625" customWidth="1"/>
    <col min="2" max="2" width="9.6640625" customWidth="1"/>
    <col min="3" max="3" width="8.88671875" customWidth="1"/>
    <col min="4" max="4" width="12.109375" customWidth="1"/>
    <col min="5" max="5" width="9.88671875" bestFit="1" customWidth="1"/>
    <col min="6" max="6" width="9.5546875" customWidth="1"/>
    <col min="7" max="7" width="11.109375" customWidth="1"/>
    <col min="8" max="8" width="10.33203125" customWidth="1"/>
    <col min="9" max="9" width="12.88671875" customWidth="1"/>
  </cols>
  <sheetData>
    <row r="2" spans="1:13" x14ac:dyDescent="0.3">
      <c r="F2" s="1" t="s">
        <v>0</v>
      </c>
      <c r="G2" s="1"/>
      <c r="H2" s="1"/>
    </row>
    <row r="3" spans="1:13" x14ac:dyDescent="0.3">
      <c r="F3" s="1" t="s">
        <v>1</v>
      </c>
      <c r="G3" s="1"/>
      <c r="H3" s="1"/>
    </row>
    <row r="4" spans="1:13" x14ac:dyDescent="0.3">
      <c r="F4" s="1" t="s">
        <v>39</v>
      </c>
      <c r="G4" s="1"/>
      <c r="H4" s="1"/>
    </row>
    <row r="5" spans="1:13" x14ac:dyDescent="0.3">
      <c r="F5" s="1" t="s">
        <v>2</v>
      </c>
    </row>
    <row r="7" spans="1:13" x14ac:dyDescent="0.3">
      <c r="H7" s="1"/>
      <c r="I7" s="1"/>
      <c r="K7" s="10" t="s">
        <v>114</v>
      </c>
      <c r="L7" s="10"/>
      <c r="M7" s="10"/>
    </row>
    <row r="8" spans="1:13" x14ac:dyDescent="0.3">
      <c r="F8" s="1" t="s">
        <v>8</v>
      </c>
      <c r="H8" s="1"/>
      <c r="I8" s="1"/>
    </row>
    <row r="9" spans="1:13" x14ac:dyDescent="0.3">
      <c r="A9" t="s">
        <v>64</v>
      </c>
      <c r="F9" s="2" t="s">
        <v>119</v>
      </c>
      <c r="H9" s="2" t="s">
        <v>79</v>
      </c>
      <c r="I9" s="2" t="s">
        <v>79</v>
      </c>
    </row>
    <row r="10" spans="1:13" x14ac:dyDescent="0.3">
      <c r="A10" t="s">
        <v>63</v>
      </c>
      <c r="E10" s="2">
        <f>'Assumptions Calculations'!C17</f>
        <v>1200</v>
      </c>
      <c r="H10" s="1">
        <v>1132</v>
      </c>
      <c r="I10" s="1">
        <v>1410</v>
      </c>
      <c r="J10" t="s">
        <v>105</v>
      </c>
    </row>
    <row r="11" spans="1:13" x14ac:dyDescent="0.3">
      <c r="A11" t="s">
        <v>65</v>
      </c>
      <c r="E11" s="24">
        <f>'Assumptions Calculations'!K49</f>
        <v>3103.2000000000003</v>
      </c>
      <c r="H11" s="1">
        <v>2815</v>
      </c>
      <c r="I11" s="1">
        <v>3363</v>
      </c>
      <c r="J11" t="s">
        <v>105</v>
      </c>
    </row>
    <row r="12" spans="1:13" x14ac:dyDescent="0.3">
      <c r="A12" t="s">
        <v>66</v>
      </c>
      <c r="E12" s="2">
        <f>'Assumptions Calculations'!D49</f>
        <v>1290</v>
      </c>
      <c r="H12" s="1">
        <v>1800</v>
      </c>
      <c r="I12" s="1">
        <v>1800</v>
      </c>
      <c r="J12" t="s">
        <v>106</v>
      </c>
    </row>
    <row r="16" spans="1:13" x14ac:dyDescent="0.3">
      <c r="A16" s="10" t="s">
        <v>21</v>
      </c>
    </row>
    <row r="17" spans="1:10" x14ac:dyDescent="0.3">
      <c r="A17" t="s">
        <v>41</v>
      </c>
      <c r="E17" s="12">
        <f>'Assumptions Calculations'!F20</f>
        <v>0.55000000000000004</v>
      </c>
    </row>
    <row r="18" spans="1:10" x14ac:dyDescent="0.3">
      <c r="A18" t="s">
        <v>40</v>
      </c>
      <c r="E18" s="12">
        <f>'Assumptions Calculations'!G20</f>
        <v>0.15</v>
      </c>
    </row>
    <row r="19" spans="1:10" x14ac:dyDescent="0.3">
      <c r="A19" t="s">
        <v>42</v>
      </c>
      <c r="E19" s="12">
        <f>'Assumptions Calculations'!H20</f>
        <v>0.25</v>
      </c>
    </row>
    <row r="20" spans="1:10" x14ac:dyDescent="0.3">
      <c r="A20" t="s">
        <v>43</v>
      </c>
      <c r="E20" s="4">
        <f>'Assumptions Calculations'!I20</f>
        <v>0.05</v>
      </c>
    </row>
    <row r="21" spans="1:10" x14ac:dyDescent="0.3">
      <c r="A21" t="s">
        <v>8</v>
      </c>
      <c r="E21" s="4">
        <f>SUM(E17:E20)</f>
        <v>1</v>
      </c>
    </row>
    <row r="23" spans="1:10" x14ac:dyDescent="0.3">
      <c r="A23" t="s">
        <v>44</v>
      </c>
      <c r="E23" s="22">
        <f>'Assumptions Calculations'!C8</f>
        <v>1</v>
      </c>
    </row>
    <row r="26" spans="1:10" x14ac:dyDescent="0.3">
      <c r="A26" t="s">
        <v>33</v>
      </c>
      <c r="E26" s="9">
        <f>'Assumptions Calculations'!J49</f>
        <v>164352.88799999998</v>
      </c>
      <c r="H26" s="23">
        <v>188868</v>
      </c>
      <c r="I26" s="23">
        <v>234296</v>
      </c>
      <c r="J26" t="s">
        <v>105</v>
      </c>
    </row>
    <row r="27" spans="1:10" x14ac:dyDescent="0.3">
      <c r="A27" t="s">
        <v>45</v>
      </c>
      <c r="E27" s="23">
        <v>0</v>
      </c>
      <c r="J27" t="s">
        <v>113</v>
      </c>
    </row>
    <row r="29" spans="1:10" x14ac:dyDescent="0.3">
      <c r="A29" t="s">
        <v>46</v>
      </c>
      <c r="E29" s="23">
        <f>SUM(E26:E28)</f>
        <v>164352.88799999998</v>
      </c>
      <c r="F29" s="33">
        <f>E29/E10</f>
        <v>136.96073999999999</v>
      </c>
      <c r="G29" s="33"/>
    </row>
    <row r="32" spans="1:10" x14ac:dyDescent="0.3">
      <c r="A32" s="8" t="s">
        <v>67</v>
      </c>
    </row>
    <row r="33" spans="1:10" x14ac:dyDescent="0.3">
      <c r="A33" t="s">
        <v>68</v>
      </c>
      <c r="E33" s="9">
        <f>'Assumptions Calculations'!E12</f>
        <v>108000</v>
      </c>
    </row>
    <row r="34" spans="1:10" x14ac:dyDescent="0.3">
      <c r="A34" t="s">
        <v>69</v>
      </c>
      <c r="E34" s="9">
        <f>'Assumptions Calculations'!F12</f>
        <v>27000</v>
      </c>
    </row>
    <row r="35" spans="1:10" x14ac:dyDescent="0.3">
      <c r="A35" t="s">
        <v>70</v>
      </c>
      <c r="E35" s="23">
        <v>0</v>
      </c>
    </row>
    <row r="36" spans="1:10" x14ac:dyDescent="0.3">
      <c r="A36" t="s">
        <v>71</v>
      </c>
      <c r="E36" s="23">
        <f>SUM(E33:E35)</f>
        <v>135000</v>
      </c>
      <c r="H36" s="23">
        <v>122301</v>
      </c>
      <c r="I36" s="23">
        <v>145697</v>
      </c>
      <c r="J36" t="s">
        <v>105</v>
      </c>
    </row>
    <row r="38" spans="1:10" x14ac:dyDescent="0.3">
      <c r="A38" t="s">
        <v>74</v>
      </c>
      <c r="E38" s="9">
        <f>'Assumptions Calculations'!D55*'Assumptions Calculations'!C17</f>
        <v>2400</v>
      </c>
    </row>
    <row r="39" spans="1:10" x14ac:dyDescent="0.3">
      <c r="A39" t="s">
        <v>104</v>
      </c>
      <c r="E39" s="9">
        <f>'Assumptions Calculations'!D57</f>
        <v>2652.7257600000003</v>
      </c>
    </row>
    <row r="40" spans="1:10" x14ac:dyDescent="0.3">
      <c r="A40" t="s">
        <v>73</v>
      </c>
      <c r="E40" s="23">
        <f>'Assumptions Calculations'!D58</f>
        <v>0</v>
      </c>
    </row>
    <row r="41" spans="1:10" x14ac:dyDescent="0.3">
      <c r="A41" t="s">
        <v>118</v>
      </c>
      <c r="E41" s="23">
        <f>SUM(E38:E40)</f>
        <v>5052.7257600000003</v>
      </c>
    </row>
    <row r="43" spans="1:10" x14ac:dyDescent="0.3">
      <c r="A43" s="21" t="s">
        <v>78</v>
      </c>
      <c r="E43" s="23">
        <f>E36+E41</f>
        <v>140052.72576</v>
      </c>
      <c r="F43" s="34">
        <f>E43/E10</f>
        <v>116.7106048</v>
      </c>
    </row>
    <row r="45" spans="1:10" x14ac:dyDescent="0.3">
      <c r="A45" t="s">
        <v>95</v>
      </c>
      <c r="E45" s="23">
        <f>E29-E43</f>
        <v>24300.162239999976</v>
      </c>
      <c r="F45" s="35">
        <f>E45/E10</f>
        <v>20.250135199999981</v>
      </c>
    </row>
    <row r="46" spans="1:10" x14ac:dyDescent="0.3">
      <c r="A46" t="s">
        <v>120</v>
      </c>
      <c r="E46" s="4">
        <f>E45/E29</f>
        <v>0.14785357614160075</v>
      </c>
    </row>
    <row r="47" spans="1:10" x14ac:dyDescent="0.3">
      <c r="A47" s="8" t="s">
        <v>80</v>
      </c>
    </row>
    <row r="49" spans="1:10" x14ac:dyDescent="0.3">
      <c r="A49" t="s">
        <v>117</v>
      </c>
      <c r="C49" s="23">
        <f>'Assumptions Calculations'!D68</f>
        <v>35013.18144</v>
      </c>
      <c r="D49" s="12">
        <f>C49/E36</f>
        <v>0.25935689955555558</v>
      </c>
      <c r="H49" s="25">
        <f>'Assumptions Calculations'!L50</f>
        <v>0.23400473933649285</v>
      </c>
      <c r="J49" t="s">
        <v>107</v>
      </c>
    </row>
    <row r="51" spans="1:10" x14ac:dyDescent="0.3">
      <c r="A51" t="s">
        <v>116</v>
      </c>
      <c r="C51" s="23">
        <f>'Assumptions Calculations'!D73</f>
        <v>8217.6443999999992</v>
      </c>
      <c r="E51" s="23">
        <f>C51</f>
        <v>8217.6443999999992</v>
      </c>
      <c r="F51" s="34">
        <f>E51/E10</f>
        <v>6.8480369999999997</v>
      </c>
      <c r="H51" s="33"/>
      <c r="J51" t="s">
        <v>115</v>
      </c>
    </row>
    <row r="52" spans="1:10" x14ac:dyDescent="0.3">
      <c r="A52" t="s">
        <v>121</v>
      </c>
      <c r="E52" s="9">
        <f>E43+E51</f>
        <v>148270.37015999999</v>
      </c>
      <c r="F52" s="34">
        <f>E52/E10</f>
        <v>123.55864179999999</v>
      </c>
    </row>
    <row r="54" spans="1:10" x14ac:dyDescent="0.3">
      <c r="A54" t="s">
        <v>94</v>
      </c>
      <c r="E54" s="23">
        <f>E45-E51</f>
        <v>16082.517839999977</v>
      </c>
      <c r="F54" s="34">
        <f>E54/E10</f>
        <v>13.402098199999982</v>
      </c>
    </row>
    <row r="55" spans="1:10" x14ac:dyDescent="0.3">
      <c r="A55" t="s">
        <v>96</v>
      </c>
      <c r="E55" s="4">
        <f>E54/E29</f>
        <v>9.7853576141600743E-2</v>
      </c>
    </row>
    <row r="57" spans="1:10" x14ac:dyDescent="0.3">
      <c r="E57" s="26">
        <f>E54</f>
        <v>16082.517839999977</v>
      </c>
      <c r="F57" s="26">
        <v>16083</v>
      </c>
      <c r="G57" s="29">
        <f>E57-F57</f>
        <v>-0.4821600000232138</v>
      </c>
    </row>
    <row r="58" spans="1:10" x14ac:dyDescent="0.3">
      <c r="A58" s="8" t="s">
        <v>97</v>
      </c>
      <c r="B58" s="28" t="s">
        <v>109</v>
      </c>
    </row>
    <row r="59" spans="1:10" x14ac:dyDescent="0.3">
      <c r="A59" t="s">
        <v>103</v>
      </c>
      <c r="B59" s="12">
        <v>0.1</v>
      </c>
      <c r="C59" s="1" t="s">
        <v>100</v>
      </c>
      <c r="E59" s="9">
        <v>15109</v>
      </c>
      <c r="F59" s="9">
        <f>E59</f>
        <v>15109</v>
      </c>
    </row>
    <row r="60" spans="1:10" x14ac:dyDescent="0.3">
      <c r="A60" t="s">
        <v>98</v>
      </c>
      <c r="B60" s="12">
        <v>0.1</v>
      </c>
      <c r="C60" t="s">
        <v>101</v>
      </c>
      <c r="E60" s="9">
        <v>17110</v>
      </c>
      <c r="F60" s="9">
        <f>-E60</f>
        <v>-17110</v>
      </c>
    </row>
    <row r="61" spans="1:10" x14ac:dyDescent="0.3">
      <c r="A61" t="s">
        <v>110</v>
      </c>
      <c r="B61" s="12">
        <v>0.1</v>
      </c>
      <c r="C61" t="s">
        <v>112</v>
      </c>
      <c r="E61" s="9">
        <v>15613</v>
      </c>
      <c r="F61" s="9">
        <v>15613</v>
      </c>
    </row>
    <row r="62" spans="1:10" x14ac:dyDescent="0.3">
      <c r="A62" t="s">
        <v>99</v>
      </c>
      <c r="B62" s="12">
        <v>0.1</v>
      </c>
      <c r="C62" s="1" t="s">
        <v>102</v>
      </c>
      <c r="E62" s="9">
        <v>13500</v>
      </c>
      <c r="F62" s="9">
        <f>-E62</f>
        <v>-13500</v>
      </c>
    </row>
  </sheetData>
  <pageMargins left="0.7" right="0.7" top="0.75" bottom="0.75" header="0.3" footer="0.3"/>
  <pageSetup scale="57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D37CE-F85C-4C4F-B0C8-4CEEF9F4B92E}">
  <sheetPr>
    <pageSetUpPr fitToPage="1"/>
  </sheetPr>
  <dimension ref="A2:S7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45" sqref="D45"/>
    </sheetView>
  </sheetViews>
  <sheetFormatPr defaultRowHeight="14.4" x14ac:dyDescent="0.3"/>
  <cols>
    <col min="1" max="1" width="30.109375" customWidth="1"/>
    <col min="2" max="2" width="23.6640625" customWidth="1"/>
    <col min="3" max="3" width="10" customWidth="1"/>
    <col min="4" max="4" width="10.88671875" customWidth="1"/>
    <col min="5" max="5" width="12.6640625" customWidth="1"/>
    <col min="6" max="6" width="15.44140625" customWidth="1"/>
    <col min="7" max="7" width="11.109375" customWidth="1"/>
    <col min="8" max="8" width="14.44140625" customWidth="1"/>
    <col min="10" max="11" width="10.44140625" customWidth="1"/>
    <col min="12" max="12" width="11.88671875" customWidth="1"/>
    <col min="13" max="13" width="12.33203125" customWidth="1"/>
    <col min="14" max="14" width="35.5546875" customWidth="1"/>
  </cols>
  <sheetData>
    <row r="2" spans="1:19" x14ac:dyDescent="0.3">
      <c r="D2" s="1" t="s">
        <v>0</v>
      </c>
      <c r="E2" s="1"/>
      <c r="F2" s="1"/>
      <c r="G2" s="1"/>
    </row>
    <row r="3" spans="1:19" x14ac:dyDescent="0.3">
      <c r="D3" s="1" t="s">
        <v>1</v>
      </c>
      <c r="E3" s="1"/>
      <c r="F3" s="1"/>
      <c r="G3" s="1"/>
    </row>
    <row r="4" spans="1:19" x14ac:dyDescent="0.3">
      <c r="D4" s="1" t="s">
        <v>2</v>
      </c>
      <c r="E4" s="1"/>
      <c r="F4" s="1"/>
      <c r="G4" s="1"/>
    </row>
    <row r="7" spans="1:19" x14ac:dyDescent="0.3">
      <c r="B7" s="2" t="s">
        <v>25</v>
      </c>
      <c r="C7" s="2" t="s">
        <v>24</v>
      </c>
      <c r="D7" s="2" t="s">
        <v>26</v>
      </c>
      <c r="E7" s="2" t="s">
        <v>124</v>
      </c>
      <c r="F7" s="2" t="s">
        <v>123</v>
      </c>
      <c r="N7" s="2" t="s">
        <v>7</v>
      </c>
    </row>
    <row r="8" spans="1:19" x14ac:dyDescent="0.3">
      <c r="A8" t="s">
        <v>15</v>
      </c>
      <c r="B8" s="1" t="s">
        <v>6</v>
      </c>
      <c r="C8" s="36">
        <v>1</v>
      </c>
      <c r="D8" s="31">
        <v>108000</v>
      </c>
      <c r="E8" s="9">
        <f>C8*D8</f>
        <v>108000</v>
      </c>
      <c r="F8" s="9">
        <f>D8*C14</f>
        <v>27000</v>
      </c>
      <c r="N8" s="1" t="s">
        <v>5</v>
      </c>
      <c r="P8" t="s">
        <v>13</v>
      </c>
      <c r="S8" t="s">
        <v>14</v>
      </c>
    </row>
    <row r="9" spans="1:19" x14ac:dyDescent="0.3">
      <c r="A9" t="s">
        <v>15</v>
      </c>
      <c r="C9" s="38">
        <v>0</v>
      </c>
      <c r="D9" s="31">
        <v>0</v>
      </c>
      <c r="E9" s="9">
        <f t="shared" ref="E9:E11" si="0">C9*D9</f>
        <v>0</v>
      </c>
      <c r="F9" s="9">
        <f>D9*C14</f>
        <v>0</v>
      </c>
    </row>
    <row r="10" spans="1:19" x14ac:dyDescent="0.3">
      <c r="A10" t="s">
        <v>27</v>
      </c>
      <c r="C10" s="38">
        <v>0</v>
      </c>
      <c r="D10" s="31">
        <v>0</v>
      </c>
      <c r="E10" s="9">
        <f t="shared" si="0"/>
        <v>0</v>
      </c>
      <c r="F10" s="9">
        <f>D10*C15</f>
        <v>0</v>
      </c>
    </row>
    <row r="11" spans="1:19" x14ac:dyDescent="0.3">
      <c r="A11" t="s">
        <v>28</v>
      </c>
      <c r="C11" s="39">
        <v>0</v>
      </c>
      <c r="D11" s="40">
        <v>0</v>
      </c>
      <c r="E11" s="23">
        <f t="shared" si="0"/>
        <v>0</v>
      </c>
      <c r="F11" s="23">
        <f>D11*C15</f>
        <v>0</v>
      </c>
    </row>
    <row r="12" spans="1:19" x14ac:dyDescent="0.3">
      <c r="C12" s="37">
        <f>SUM(C8:C11)</f>
        <v>1</v>
      </c>
      <c r="D12" s="23">
        <f>SUM(D8:D11)</f>
        <v>108000</v>
      </c>
      <c r="E12" s="23">
        <f t="shared" ref="E12:F12" si="1">SUM(E8:E11)</f>
        <v>108000</v>
      </c>
      <c r="F12" s="23">
        <f t="shared" si="1"/>
        <v>27000</v>
      </c>
      <c r="N12" s="1" t="s">
        <v>4</v>
      </c>
    </row>
    <row r="14" spans="1:19" x14ac:dyDescent="0.3">
      <c r="A14" t="s">
        <v>3</v>
      </c>
      <c r="B14" t="s">
        <v>15</v>
      </c>
      <c r="C14" s="3">
        <v>0.25</v>
      </c>
      <c r="N14" s="1" t="s">
        <v>4</v>
      </c>
    </row>
    <row r="15" spans="1:19" x14ac:dyDescent="0.3">
      <c r="A15" t="s">
        <v>3</v>
      </c>
      <c r="B15" t="s">
        <v>16</v>
      </c>
      <c r="C15" s="3">
        <v>0.3</v>
      </c>
      <c r="N15" s="1"/>
    </row>
    <row r="16" spans="1:19" x14ac:dyDescent="0.3">
      <c r="J16" s="1"/>
    </row>
    <row r="17" spans="1:15" x14ac:dyDescent="0.3">
      <c r="A17" t="s">
        <v>122</v>
      </c>
      <c r="B17" s="5">
        <v>1200</v>
      </c>
      <c r="C17" s="1">
        <f>B17*C8</f>
        <v>1200</v>
      </c>
      <c r="J17" s="11"/>
      <c r="N17" s="1" t="s">
        <v>4</v>
      </c>
    </row>
    <row r="18" spans="1:15" x14ac:dyDescent="0.3">
      <c r="N18" s="1" t="s">
        <v>23</v>
      </c>
    </row>
    <row r="19" spans="1:15" x14ac:dyDescent="0.3">
      <c r="E19" s="2" t="s">
        <v>11</v>
      </c>
      <c r="F19" s="2" t="s">
        <v>11</v>
      </c>
      <c r="G19" s="2" t="s">
        <v>18</v>
      </c>
      <c r="H19" s="2" t="s">
        <v>19</v>
      </c>
      <c r="I19" s="2" t="s">
        <v>20</v>
      </c>
      <c r="J19" s="2" t="s">
        <v>8</v>
      </c>
    </row>
    <row r="20" spans="1:15" ht="27.9" customHeight="1" x14ac:dyDescent="0.3">
      <c r="A20" t="s">
        <v>21</v>
      </c>
      <c r="F20" s="6">
        <v>0.55000000000000004</v>
      </c>
      <c r="G20" s="6">
        <v>0.15</v>
      </c>
      <c r="H20" s="6">
        <v>0.25</v>
      </c>
      <c r="I20" s="6">
        <v>0.05</v>
      </c>
      <c r="J20" s="6">
        <f>SUM(F20:I20)</f>
        <v>1</v>
      </c>
      <c r="K20" s="21" t="s">
        <v>37</v>
      </c>
      <c r="L20" s="21"/>
      <c r="N20" s="1" t="s">
        <v>4</v>
      </c>
    </row>
    <row r="22" spans="1:15" ht="28.8" x14ac:dyDescent="0.3">
      <c r="A22" t="s">
        <v>22</v>
      </c>
      <c r="G22" s="11"/>
      <c r="H22" s="14">
        <v>2</v>
      </c>
      <c r="I22" s="14">
        <v>0.1</v>
      </c>
      <c r="N22" s="13" t="s">
        <v>38</v>
      </c>
    </row>
    <row r="23" spans="1:15" x14ac:dyDescent="0.3">
      <c r="A23" t="s">
        <v>111</v>
      </c>
      <c r="F23" s="3">
        <v>0</v>
      </c>
      <c r="G23" s="3">
        <v>0</v>
      </c>
      <c r="H23" s="3">
        <v>0</v>
      </c>
      <c r="I23" s="3">
        <v>0</v>
      </c>
      <c r="K23" t="s">
        <v>30</v>
      </c>
      <c r="L23" s="1" t="s">
        <v>18</v>
      </c>
    </row>
    <row r="24" spans="1:15" x14ac:dyDescent="0.3">
      <c r="A24" t="s">
        <v>53</v>
      </c>
      <c r="D24" s="1">
        <v>0.25</v>
      </c>
      <c r="E24" s="1" t="s">
        <v>56</v>
      </c>
      <c r="K24" s="1" t="s">
        <v>29</v>
      </c>
      <c r="L24" s="1" t="s">
        <v>31</v>
      </c>
      <c r="M24" s="1" t="s">
        <v>8</v>
      </c>
    </row>
    <row r="25" spans="1:15" x14ac:dyDescent="0.3">
      <c r="B25" s="10" t="s">
        <v>17</v>
      </c>
      <c r="C25" s="2" t="s">
        <v>10</v>
      </c>
      <c r="D25" s="2" t="s">
        <v>34</v>
      </c>
      <c r="E25" s="2" t="s">
        <v>57</v>
      </c>
      <c r="F25" s="2" t="s">
        <v>12</v>
      </c>
      <c r="G25" s="2" t="s">
        <v>12</v>
      </c>
      <c r="H25" s="2" t="s">
        <v>12</v>
      </c>
      <c r="I25" s="2" t="s">
        <v>12</v>
      </c>
      <c r="K25" s="2" t="s">
        <v>9</v>
      </c>
      <c r="L25" s="2" t="s">
        <v>9</v>
      </c>
      <c r="M25" s="2" t="s">
        <v>9</v>
      </c>
      <c r="N25" s="2" t="s">
        <v>55</v>
      </c>
      <c r="O25" s="17" t="s">
        <v>54</v>
      </c>
    </row>
    <row r="26" spans="1:15" x14ac:dyDescent="0.3">
      <c r="N26" t="s">
        <v>32</v>
      </c>
      <c r="O26" s="17" t="s">
        <v>62</v>
      </c>
    </row>
    <row r="27" spans="1:15" x14ac:dyDescent="0.3">
      <c r="A27" t="s">
        <v>47</v>
      </c>
      <c r="B27" s="1">
        <v>90791</v>
      </c>
      <c r="C27" s="6">
        <v>0.1</v>
      </c>
      <c r="D27" s="27">
        <v>1</v>
      </c>
      <c r="E27" s="18">
        <v>164</v>
      </c>
      <c r="F27" s="30">
        <v>153.41999999999999</v>
      </c>
      <c r="G27" s="30">
        <v>191.78</v>
      </c>
      <c r="H27" s="18">
        <f>(G27*$H$22)</f>
        <v>383.56</v>
      </c>
      <c r="I27" s="18">
        <f t="shared" ref="I27:I33" si="2">(G27*$I$22)</f>
        <v>19.178000000000001</v>
      </c>
      <c r="J27" s="18"/>
      <c r="K27" s="27">
        <v>3.84</v>
      </c>
      <c r="L27" s="27">
        <f>M27-K27</f>
        <v>1.3200000000000003</v>
      </c>
      <c r="M27" s="16">
        <v>5.16</v>
      </c>
    </row>
    <row r="28" spans="1:15" x14ac:dyDescent="0.3">
      <c r="A28" t="s">
        <v>48</v>
      </c>
      <c r="B28" s="1">
        <v>90832</v>
      </c>
      <c r="C28" s="6">
        <v>0.1</v>
      </c>
      <c r="D28" s="27">
        <v>0.5</v>
      </c>
      <c r="E28" s="18"/>
      <c r="F28" s="30">
        <v>66.13</v>
      </c>
      <c r="G28" s="30">
        <v>82.66</v>
      </c>
      <c r="H28" s="18">
        <f t="shared" ref="H28:H33" si="3">G28*$H$22</f>
        <v>165.32</v>
      </c>
      <c r="I28" s="18">
        <f t="shared" si="2"/>
        <v>8.266</v>
      </c>
      <c r="J28" s="18"/>
      <c r="K28" s="27">
        <v>1.7</v>
      </c>
      <c r="L28" s="27">
        <f t="shared" ref="L28:L31" si="4">M28-K28</f>
        <v>0.53</v>
      </c>
      <c r="M28" s="16">
        <v>2.23</v>
      </c>
    </row>
    <row r="29" spans="1:15" x14ac:dyDescent="0.3">
      <c r="A29" t="s">
        <v>49</v>
      </c>
      <c r="B29" s="1">
        <v>90834</v>
      </c>
      <c r="C29" s="6">
        <v>0.5</v>
      </c>
      <c r="D29" s="5">
        <v>0.75</v>
      </c>
      <c r="E29" s="18"/>
      <c r="F29" s="30">
        <v>87.52</v>
      </c>
      <c r="G29" s="30">
        <v>109.4</v>
      </c>
      <c r="H29" s="18">
        <f t="shared" si="3"/>
        <v>218.8</v>
      </c>
      <c r="I29" s="18">
        <f t="shared" si="2"/>
        <v>10.940000000000001</v>
      </c>
      <c r="J29" s="18"/>
      <c r="K29" s="27">
        <v>2.2400000000000002</v>
      </c>
      <c r="L29" s="27">
        <f t="shared" si="4"/>
        <v>0.71</v>
      </c>
      <c r="M29" s="16">
        <v>2.95</v>
      </c>
    </row>
    <row r="30" spans="1:15" x14ac:dyDescent="0.3">
      <c r="A30" t="s">
        <v>50</v>
      </c>
      <c r="B30" s="1">
        <v>90837</v>
      </c>
      <c r="C30" s="6">
        <v>0.2</v>
      </c>
      <c r="D30" s="27">
        <v>1</v>
      </c>
      <c r="E30" s="18"/>
      <c r="F30" s="30">
        <v>128.69999999999999</v>
      </c>
      <c r="G30" s="30">
        <v>160.87</v>
      </c>
      <c r="H30" s="18">
        <f t="shared" si="3"/>
        <v>321.74</v>
      </c>
      <c r="I30" s="18">
        <f t="shared" si="2"/>
        <v>16.087</v>
      </c>
      <c r="J30" s="18"/>
      <c r="K30" s="27">
        <v>3.31</v>
      </c>
      <c r="L30" s="27">
        <f t="shared" si="4"/>
        <v>1.0299999999999998</v>
      </c>
      <c r="M30" s="16">
        <v>4.34</v>
      </c>
    </row>
    <row r="31" spans="1:15" x14ac:dyDescent="0.3">
      <c r="A31" t="s">
        <v>51</v>
      </c>
      <c r="B31" s="1">
        <v>90847</v>
      </c>
      <c r="C31" s="6">
        <v>0.1</v>
      </c>
      <c r="D31" s="27">
        <v>1</v>
      </c>
      <c r="E31" s="18"/>
      <c r="F31" s="30">
        <v>86.08</v>
      </c>
      <c r="G31" s="30">
        <v>107.6</v>
      </c>
      <c r="H31" s="18">
        <f t="shared" si="3"/>
        <v>215.2</v>
      </c>
      <c r="I31" s="18">
        <f t="shared" si="2"/>
        <v>10.76</v>
      </c>
      <c r="J31" s="18"/>
      <c r="K31" s="27">
        <v>2.5</v>
      </c>
      <c r="L31" s="27">
        <f t="shared" si="4"/>
        <v>0.43999999999999995</v>
      </c>
      <c r="M31" s="16">
        <v>2.94</v>
      </c>
    </row>
    <row r="32" spans="1:15" x14ac:dyDescent="0.3">
      <c r="A32" t="s">
        <v>58</v>
      </c>
      <c r="B32" s="1" t="s">
        <v>59</v>
      </c>
      <c r="C32" s="6">
        <v>0</v>
      </c>
      <c r="D32" s="27">
        <v>0.25</v>
      </c>
      <c r="E32" s="18">
        <v>43.07</v>
      </c>
      <c r="F32" s="30">
        <v>43.07</v>
      </c>
      <c r="G32" s="30">
        <v>0</v>
      </c>
      <c r="H32" s="18">
        <f t="shared" si="3"/>
        <v>0</v>
      </c>
      <c r="I32" s="18">
        <f t="shared" si="2"/>
        <v>0</v>
      </c>
      <c r="J32" s="18"/>
      <c r="K32" s="1"/>
      <c r="L32" s="1"/>
      <c r="M32" s="1"/>
    </row>
    <row r="33" spans="1:13" x14ac:dyDescent="0.3">
      <c r="A33" t="s">
        <v>61</v>
      </c>
      <c r="B33" s="1" t="s">
        <v>60</v>
      </c>
      <c r="C33" s="7">
        <v>0</v>
      </c>
      <c r="D33" s="27">
        <v>0.25</v>
      </c>
      <c r="E33" s="18"/>
      <c r="F33" s="30">
        <v>34.57</v>
      </c>
      <c r="G33" s="30">
        <v>0</v>
      </c>
      <c r="H33" s="18">
        <f t="shared" si="3"/>
        <v>0</v>
      </c>
      <c r="I33" s="18">
        <f t="shared" si="2"/>
        <v>0</v>
      </c>
      <c r="J33" s="18"/>
    </row>
    <row r="35" spans="1:13" x14ac:dyDescent="0.3">
      <c r="A35" t="s">
        <v>8</v>
      </c>
      <c r="C35" s="7">
        <f>SUM(C27:C34)</f>
        <v>0.99999999999999989</v>
      </c>
    </row>
    <row r="38" spans="1:13" x14ac:dyDescent="0.3">
      <c r="K38" s="1" t="s">
        <v>8</v>
      </c>
      <c r="L38" s="1" t="s">
        <v>8</v>
      </c>
      <c r="M38" s="1" t="s">
        <v>8</v>
      </c>
    </row>
    <row r="39" spans="1:13" x14ac:dyDescent="0.3">
      <c r="D39" s="1" t="s">
        <v>8</v>
      </c>
      <c r="K39" s="1" t="s">
        <v>29</v>
      </c>
      <c r="L39" s="1" t="s">
        <v>31</v>
      </c>
      <c r="M39" s="2" t="s">
        <v>36</v>
      </c>
    </row>
    <row r="40" spans="1:13" x14ac:dyDescent="0.3">
      <c r="A40" s="15" t="s">
        <v>33</v>
      </c>
      <c r="D40" s="1" t="s">
        <v>35</v>
      </c>
      <c r="E40" s="2" t="s">
        <v>11</v>
      </c>
      <c r="F40" s="2" t="s">
        <v>11</v>
      </c>
      <c r="G40" s="2" t="s">
        <v>18</v>
      </c>
      <c r="H40" s="2" t="s">
        <v>19</v>
      </c>
      <c r="I40" s="2" t="s">
        <v>20</v>
      </c>
      <c r="J40" s="2" t="s">
        <v>8</v>
      </c>
      <c r="K40" s="2" t="s">
        <v>36</v>
      </c>
      <c r="L40" s="2" t="s">
        <v>36</v>
      </c>
    </row>
    <row r="41" spans="1:13" x14ac:dyDescent="0.3">
      <c r="A41" t="str">
        <f>A27</f>
        <v xml:space="preserve">Psych Diagnostic Evaluation </v>
      </c>
      <c r="B41" s="1">
        <f>B27</f>
        <v>90791</v>
      </c>
      <c r="D41" s="1">
        <f t="shared" ref="D41:D47" si="5">$C$17*$C27*($D27+$D$24)</f>
        <v>150</v>
      </c>
      <c r="E41" s="18"/>
      <c r="F41" s="9">
        <f t="shared" ref="F41:F47" si="6">($C$17*$F$20*$C27*$F27)*(1+F$23)</f>
        <v>10125.719999999999</v>
      </c>
      <c r="G41" s="9">
        <f t="shared" ref="G41:G47" si="7">($C$17*$G$20*$C27*$G27)*(1+G$23)</f>
        <v>3452.04</v>
      </c>
      <c r="H41" s="9">
        <f t="shared" ref="H41:H47" si="8">($C$17*$H$20*$C27*$H27)*(1+H$23)</f>
        <v>11506.8</v>
      </c>
      <c r="I41" s="9">
        <f t="shared" ref="I41:I47" si="9">($C$17*$I$20*$C27*$I27)*(1+I$23)</f>
        <v>115.06800000000001</v>
      </c>
      <c r="J41" s="9">
        <f>SUM(F41:I41)</f>
        <v>25199.627999999997</v>
      </c>
      <c r="K41" s="1">
        <f t="shared" ref="K41:K47" si="10">$C$17*$C27*$K27</f>
        <v>460.79999999999995</v>
      </c>
      <c r="L41" s="1">
        <f t="shared" ref="L41:L47" si="11">$C$17*$C27*$L27</f>
        <v>158.40000000000003</v>
      </c>
      <c r="M41" s="1">
        <f>K41+L41</f>
        <v>619.20000000000005</v>
      </c>
    </row>
    <row r="42" spans="1:13" x14ac:dyDescent="0.3">
      <c r="A42" t="str">
        <f t="shared" ref="A42:B46" si="12">A28</f>
        <v xml:space="preserve">Psychotherapy 30 Minutes </v>
      </c>
      <c r="B42" s="1">
        <f t="shared" si="12"/>
        <v>90832</v>
      </c>
      <c r="D42" s="1">
        <f t="shared" si="5"/>
        <v>90</v>
      </c>
      <c r="E42" s="18"/>
      <c r="F42" s="9">
        <f t="shared" si="6"/>
        <v>4364.58</v>
      </c>
      <c r="G42" s="9">
        <f t="shared" si="7"/>
        <v>1487.8799999999999</v>
      </c>
      <c r="H42" s="9">
        <f t="shared" si="8"/>
        <v>4959.5999999999995</v>
      </c>
      <c r="I42" s="9">
        <f t="shared" si="9"/>
        <v>49.596000000000004</v>
      </c>
      <c r="J42" s="9">
        <f t="shared" ref="J42:J47" si="13">SUM(F42:I42)</f>
        <v>10861.655999999999</v>
      </c>
      <c r="K42" s="1">
        <f t="shared" si="10"/>
        <v>204</v>
      </c>
      <c r="L42" s="1">
        <f t="shared" si="11"/>
        <v>63.6</v>
      </c>
      <c r="M42" s="1">
        <f t="shared" ref="M42:M47" si="14">K42+L42</f>
        <v>267.60000000000002</v>
      </c>
    </row>
    <row r="43" spans="1:13" x14ac:dyDescent="0.3">
      <c r="A43" t="str">
        <f t="shared" si="12"/>
        <v xml:space="preserve">Psychotherapy 45 Minutes </v>
      </c>
      <c r="B43" s="1">
        <f t="shared" si="12"/>
        <v>90834</v>
      </c>
      <c r="D43" s="1">
        <f t="shared" si="5"/>
        <v>600</v>
      </c>
      <c r="E43" s="18"/>
      <c r="F43" s="9">
        <f t="shared" si="6"/>
        <v>28881.599999999999</v>
      </c>
      <c r="G43" s="9">
        <f t="shared" si="7"/>
        <v>9846</v>
      </c>
      <c r="H43" s="9">
        <f t="shared" si="8"/>
        <v>32820</v>
      </c>
      <c r="I43" s="9">
        <f t="shared" si="9"/>
        <v>328.20000000000005</v>
      </c>
      <c r="J43" s="9">
        <f t="shared" si="13"/>
        <v>71875.8</v>
      </c>
      <c r="K43" s="1">
        <f t="shared" si="10"/>
        <v>1344.0000000000002</v>
      </c>
      <c r="L43" s="1">
        <f t="shared" si="11"/>
        <v>426</v>
      </c>
      <c r="M43" s="1">
        <f t="shared" si="14"/>
        <v>1770.0000000000002</v>
      </c>
    </row>
    <row r="44" spans="1:13" x14ac:dyDescent="0.3">
      <c r="A44" t="str">
        <f t="shared" si="12"/>
        <v xml:space="preserve">Psychotherapy 60 Minutes </v>
      </c>
      <c r="B44" s="1">
        <f t="shared" si="12"/>
        <v>90837</v>
      </c>
      <c r="D44" s="1">
        <f t="shared" si="5"/>
        <v>300</v>
      </c>
      <c r="E44" s="18"/>
      <c r="F44" s="9">
        <f t="shared" si="6"/>
        <v>16988.399999999998</v>
      </c>
      <c r="G44" s="9">
        <f t="shared" si="7"/>
        <v>5791.32</v>
      </c>
      <c r="H44" s="9">
        <f t="shared" si="8"/>
        <v>19304.400000000001</v>
      </c>
      <c r="I44" s="9">
        <f t="shared" si="9"/>
        <v>193.04399999999998</v>
      </c>
      <c r="J44" s="9">
        <f t="shared" si="13"/>
        <v>42277.163999999997</v>
      </c>
      <c r="K44" s="1">
        <f t="shared" si="10"/>
        <v>794.4</v>
      </c>
      <c r="L44" s="1">
        <f t="shared" si="11"/>
        <v>247.19999999999996</v>
      </c>
      <c r="M44" s="1">
        <f t="shared" si="14"/>
        <v>1041.5999999999999</v>
      </c>
    </row>
    <row r="45" spans="1:13" x14ac:dyDescent="0.3">
      <c r="A45" t="str">
        <f t="shared" si="12"/>
        <v>Family Psychoth w Patient 50min</v>
      </c>
      <c r="B45" s="1">
        <f t="shared" si="12"/>
        <v>90847</v>
      </c>
      <c r="D45" s="1">
        <f t="shared" si="5"/>
        <v>150</v>
      </c>
      <c r="E45" s="18"/>
      <c r="F45" s="9">
        <f t="shared" si="6"/>
        <v>5681.28</v>
      </c>
      <c r="G45" s="9">
        <f t="shared" si="7"/>
        <v>1936.8</v>
      </c>
      <c r="H45" s="9">
        <f t="shared" si="8"/>
        <v>6456</v>
      </c>
      <c r="I45" s="9">
        <f t="shared" si="9"/>
        <v>64.56</v>
      </c>
      <c r="J45" s="9">
        <f t="shared" si="13"/>
        <v>14138.64</v>
      </c>
      <c r="K45" s="1">
        <f t="shared" si="10"/>
        <v>300</v>
      </c>
      <c r="L45" s="1">
        <f t="shared" si="11"/>
        <v>52.8</v>
      </c>
      <c r="M45" s="1">
        <f t="shared" si="14"/>
        <v>352.8</v>
      </c>
    </row>
    <row r="46" spans="1:13" x14ac:dyDescent="0.3">
      <c r="A46" t="str">
        <f t="shared" si="12"/>
        <v xml:space="preserve">Clinical Care Coordination </v>
      </c>
      <c r="B46" s="1" t="str">
        <f>B32</f>
        <v>T1017</v>
      </c>
      <c r="D46" s="1">
        <f t="shared" si="5"/>
        <v>0</v>
      </c>
      <c r="E46" s="18"/>
      <c r="F46" s="9">
        <f t="shared" si="6"/>
        <v>0</v>
      </c>
      <c r="G46" s="9">
        <f t="shared" si="7"/>
        <v>0</v>
      </c>
      <c r="H46" s="9">
        <f t="shared" si="8"/>
        <v>0</v>
      </c>
      <c r="I46" s="9">
        <f t="shared" si="9"/>
        <v>0</v>
      </c>
      <c r="J46" s="9">
        <f t="shared" si="13"/>
        <v>0</v>
      </c>
      <c r="K46" s="1">
        <f t="shared" si="10"/>
        <v>0</v>
      </c>
      <c r="L46" s="1">
        <f t="shared" si="11"/>
        <v>0</v>
      </c>
      <c r="M46" s="1">
        <f t="shared" si="14"/>
        <v>0</v>
      </c>
    </row>
    <row r="47" spans="1:13" x14ac:dyDescent="0.3">
      <c r="A47" t="str">
        <f>A33</f>
        <v xml:space="preserve">Behavioral Health Counseling (SUD) </v>
      </c>
      <c r="B47" s="1" t="str">
        <f>B33</f>
        <v>H0004/CR/HF</v>
      </c>
      <c r="D47" s="2">
        <f t="shared" si="5"/>
        <v>0</v>
      </c>
      <c r="E47" s="33"/>
      <c r="F47" s="23">
        <f t="shared" si="6"/>
        <v>0</v>
      </c>
      <c r="G47" s="23">
        <f t="shared" si="7"/>
        <v>0</v>
      </c>
      <c r="H47" s="23">
        <f t="shared" si="8"/>
        <v>0</v>
      </c>
      <c r="I47" s="23">
        <f t="shared" si="9"/>
        <v>0</v>
      </c>
      <c r="J47" s="23">
        <f t="shared" si="13"/>
        <v>0</v>
      </c>
      <c r="K47" s="2">
        <f t="shared" si="10"/>
        <v>0</v>
      </c>
      <c r="L47" s="2">
        <f t="shared" si="11"/>
        <v>0</v>
      </c>
      <c r="M47" s="2">
        <f t="shared" si="14"/>
        <v>0</v>
      </c>
    </row>
    <row r="48" spans="1:13" x14ac:dyDescent="0.3">
      <c r="E48" s="18"/>
      <c r="F48" s="18"/>
      <c r="G48" s="18"/>
      <c r="H48" s="18"/>
      <c r="I48" s="18"/>
      <c r="J48" s="18"/>
    </row>
    <row r="49" spans="1:13" x14ac:dyDescent="0.3">
      <c r="A49" t="s">
        <v>52</v>
      </c>
      <c r="D49" s="2">
        <f>SUM(D41:D48)</f>
        <v>1290</v>
      </c>
      <c r="E49" s="18"/>
      <c r="F49" s="23">
        <f>SUM(F41:F48)</f>
        <v>66041.579999999987</v>
      </c>
      <c r="G49" s="23">
        <f t="shared" ref="G49:J49" si="15">SUM(G41:G48)</f>
        <v>22514.039999999997</v>
      </c>
      <c r="H49" s="23">
        <f t="shared" si="15"/>
        <v>75046.799999999988</v>
      </c>
      <c r="I49" s="23">
        <f t="shared" si="15"/>
        <v>750.46800000000007</v>
      </c>
      <c r="J49" s="23">
        <f t="shared" si="15"/>
        <v>164352.88799999998</v>
      </c>
      <c r="K49" s="24">
        <f>SUM(K41:K48)</f>
        <v>3103.2000000000003</v>
      </c>
      <c r="L49" s="2">
        <f>SUM(L41:L48)</f>
        <v>947.99999999999989</v>
      </c>
      <c r="M49" s="24">
        <f>SUM(M41:M47)</f>
        <v>4051.2000000000003</v>
      </c>
    </row>
    <row r="50" spans="1:13" x14ac:dyDescent="0.3">
      <c r="A50" t="s">
        <v>127</v>
      </c>
      <c r="F50" s="23">
        <f>(F49/($D$49*F$20))</f>
        <v>93.08186046511625</v>
      </c>
      <c r="G50" s="23">
        <f>(G49/($D$49*G$20))</f>
        <v>116.35162790697673</v>
      </c>
      <c r="H50" s="23">
        <f>(H49/($D$49*H$20))</f>
        <v>232.70325581395346</v>
      </c>
      <c r="I50" s="23">
        <f>(I49/($D$49*I$20))</f>
        <v>11.635162790697676</v>
      </c>
      <c r="J50" s="23">
        <f>(J49/($D$49*J$20))</f>
        <v>127.40533953488371</v>
      </c>
      <c r="K50" s="4">
        <f>K49/M49</f>
        <v>0.76599526066350709</v>
      </c>
      <c r="L50" s="4">
        <f>L49/M49</f>
        <v>0.23400473933649285</v>
      </c>
      <c r="M50" s="4">
        <f>K50+L50</f>
        <v>1</v>
      </c>
    </row>
    <row r="51" spans="1:13" x14ac:dyDescent="0.3">
      <c r="L51" s="20">
        <f>L50/K50</f>
        <v>0.30549110595514301</v>
      </c>
    </row>
    <row r="55" spans="1:13" x14ac:dyDescent="0.3">
      <c r="A55" t="s">
        <v>74</v>
      </c>
      <c r="B55" t="s">
        <v>76</v>
      </c>
      <c r="D55" s="30">
        <v>2</v>
      </c>
    </row>
    <row r="56" spans="1:13" x14ac:dyDescent="0.3">
      <c r="D56" s="9"/>
    </row>
    <row r="57" spans="1:13" x14ac:dyDescent="0.3">
      <c r="A57" t="s">
        <v>72</v>
      </c>
      <c r="B57" t="s">
        <v>77</v>
      </c>
      <c r="D57" s="31">
        <f>M49*(32.74*0.02)</f>
        <v>2652.7257600000003</v>
      </c>
    </row>
    <row r="58" spans="1:13" x14ac:dyDescent="0.3">
      <c r="A58" t="s">
        <v>73</v>
      </c>
      <c r="D58" s="31">
        <v>0</v>
      </c>
    </row>
    <row r="59" spans="1:13" x14ac:dyDescent="0.3">
      <c r="A59" t="s">
        <v>75</v>
      </c>
    </row>
    <row r="62" spans="1:13" x14ac:dyDescent="0.3">
      <c r="A62" s="8" t="s">
        <v>80</v>
      </c>
    </row>
    <row r="64" spans="1:13" x14ac:dyDescent="0.3">
      <c r="A64" s="8" t="s">
        <v>84</v>
      </c>
    </row>
    <row r="65" spans="1:4" x14ac:dyDescent="0.3">
      <c r="A65" t="s">
        <v>81</v>
      </c>
      <c r="D65" s="23">
        <f>'Financial Evaluation '!E43</f>
        <v>140052.72576</v>
      </c>
    </row>
    <row r="66" spans="1:4" x14ac:dyDescent="0.3">
      <c r="A66" t="s">
        <v>78</v>
      </c>
      <c r="C66" s="19">
        <v>2000000</v>
      </c>
      <c r="D66" s="32">
        <f>(C66*(C17/B17))</f>
        <v>2000000</v>
      </c>
    </row>
    <row r="67" spans="1:4" x14ac:dyDescent="0.3">
      <c r="A67" t="s">
        <v>82</v>
      </c>
      <c r="C67" s="9">
        <v>500000</v>
      </c>
      <c r="D67" s="31">
        <f>(C67*(C17/B17))</f>
        <v>500000</v>
      </c>
    </row>
    <row r="68" spans="1:4" x14ac:dyDescent="0.3">
      <c r="A68" t="s">
        <v>83</v>
      </c>
      <c r="D68" s="9">
        <f>((D65/D66)*D67)</f>
        <v>35013.18144</v>
      </c>
    </row>
    <row r="71" spans="1:4" x14ac:dyDescent="0.3">
      <c r="A71" s="8" t="s">
        <v>85</v>
      </c>
    </row>
    <row r="72" spans="1:4" x14ac:dyDescent="0.3">
      <c r="A72" t="s">
        <v>86</v>
      </c>
      <c r="B72" s="1" t="s">
        <v>108</v>
      </c>
    </row>
    <row r="73" spans="1:4" x14ac:dyDescent="0.3">
      <c r="A73" t="s">
        <v>90</v>
      </c>
      <c r="B73" s="25" t="s">
        <v>93</v>
      </c>
      <c r="C73" s="3">
        <v>0.05</v>
      </c>
      <c r="D73" s="9">
        <f>C73*J49</f>
        <v>8217.6443999999992</v>
      </c>
    </row>
    <row r="74" spans="1:4" x14ac:dyDescent="0.3">
      <c r="A74" t="s">
        <v>88</v>
      </c>
      <c r="B74" s="1" t="s">
        <v>89</v>
      </c>
    </row>
    <row r="75" spans="1:4" x14ac:dyDescent="0.3">
      <c r="A75" t="s">
        <v>87</v>
      </c>
      <c r="B75" s="1" t="s">
        <v>108</v>
      </c>
    </row>
    <row r="76" spans="1:4" x14ac:dyDescent="0.3">
      <c r="A76" t="s">
        <v>91</v>
      </c>
      <c r="B76" s="1" t="s">
        <v>92</v>
      </c>
    </row>
  </sheetData>
  <hyperlinks>
    <hyperlink ref="O25" r:id="rId1" xr:uid="{C787BBE5-7D60-4B70-B611-B35DCF4AB2C3}"/>
    <hyperlink ref="O26" r:id="rId2" xr:uid="{144CC0E7-F073-4EE7-8620-AFD0F7AB0E4D}"/>
  </hyperlinks>
  <pageMargins left="0.7" right="0.7" top="0.75" bottom="0.75" header="0.3" footer="0.3"/>
  <pageSetup scale="36" fitToHeight="0" orientation="landscape" horizontalDpi="0" verticalDpi="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18912-9CE7-4FA2-845D-80B53470DB7A}">
  <sheetPr>
    <pageSetUpPr fitToPage="1"/>
  </sheetPr>
  <dimension ref="A1:H30"/>
  <sheetViews>
    <sheetView workbookViewId="0">
      <selection activeCell="J34" sqref="J34"/>
    </sheetView>
  </sheetViews>
  <sheetFormatPr defaultRowHeight="14.4" x14ac:dyDescent="0.3"/>
  <cols>
    <col min="1" max="1" width="5.44140625" customWidth="1"/>
    <col min="6" max="6" width="10.44140625" customWidth="1"/>
  </cols>
  <sheetData>
    <row r="1" spans="1:8" x14ac:dyDescent="0.3">
      <c r="A1" s="1"/>
      <c r="G1" s="1" t="s">
        <v>0</v>
      </c>
      <c r="H1" s="1"/>
    </row>
    <row r="2" spans="1:8" x14ac:dyDescent="0.3">
      <c r="A2" s="1"/>
      <c r="G2" s="1" t="s">
        <v>1</v>
      </c>
      <c r="H2" s="1"/>
    </row>
    <row r="3" spans="1:8" x14ac:dyDescent="0.3">
      <c r="A3" s="1"/>
      <c r="G3" s="1" t="s">
        <v>39</v>
      </c>
      <c r="H3" s="1"/>
    </row>
    <row r="4" spans="1:8" x14ac:dyDescent="0.3">
      <c r="A4" s="1"/>
      <c r="G4" s="1" t="s">
        <v>2</v>
      </c>
    </row>
    <row r="5" spans="1:8" x14ac:dyDescent="0.3">
      <c r="A5" s="1"/>
    </row>
    <row r="6" spans="1:8" x14ac:dyDescent="0.3">
      <c r="A6" s="1"/>
    </row>
    <row r="7" spans="1:8" x14ac:dyDescent="0.3">
      <c r="A7" s="1"/>
    </row>
    <row r="8" spans="1:8" x14ac:dyDescent="0.3">
      <c r="A8" s="1">
        <v>1</v>
      </c>
      <c r="B8" t="s">
        <v>137</v>
      </c>
    </row>
    <row r="9" spans="1:8" x14ac:dyDescent="0.3">
      <c r="A9" s="1"/>
    </row>
    <row r="10" spans="1:8" x14ac:dyDescent="0.3">
      <c r="A10" s="1">
        <v>2</v>
      </c>
      <c r="B10" t="s">
        <v>136</v>
      </c>
    </row>
    <row r="11" spans="1:8" x14ac:dyDescent="0.3">
      <c r="A11" s="1"/>
    </row>
    <row r="12" spans="1:8" x14ac:dyDescent="0.3">
      <c r="A12" s="1">
        <v>3</v>
      </c>
      <c r="B12" t="s">
        <v>135</v>
      </c>
    </row>
    <row r="14" spans="1:8" x14ac:dyDescent="0.3">
      <c r="A14" s="1">
        <v>4</v>
      </c>
      <c r="B14" t="s">
        <v>134</v>
      </c>
    </row>
    <row r="16" spans="1:8" x14ac:dyDescent="0.3">
      <c r="A16" s="1">
        <v>5</v>
      </c>
      <c r="B16" t="s">
        <v>125</v>
      </c>
    </row>
    <row r="17" spans="1:2" x14ac:dyDescent="0.3">
      <c r="A17" s="1"/>
    </row>
    <row r="18" spans="1:2" x14ac:dyDescent="0.3">
      <c r="A18" s="1">
        <v>6</v>
      </c>
      <c r="B18" t="s">
        <v>133</v>
      </c>
    </row>
    <row r="19" spans="1:2" x14ac:dyDescent="0.3">
      <c r="A19" s="1"/>
    </row>
    <row r="20" spans="1:2" x14ac:dyDescent="0.3">
      <c r="A20" s="1">
        <v>7</v>
      </c>
      <c r="B20" t="s">
        <v>132</v>
      </c>
    </row>
    <row r="21" spans="1:2" x14ac:dyDescent="0.3">
      <c r="A21" s="1"/>
    </row>
    <row r="22" spans="1:2" x14ac:dyDescent="0.3">
      <c r="A22" s="1">
        <v>8</v>
      </c>
      <c r="B22" t="s">
        <v>126</v>
      </c>
    </row>
    <row r="23" spans="1:2" x14ac:dyDescent="0.3">
      <c r="A23" s="1"/>
    </row>
    <row r="24" spans="1:2" x14ac:dyDescent="0.3">
      <c r="A24" s="1">
        <v>9</v>
      </c>
      <c r="B24" t="s">
        <v>128</v>
      </c>
    </row>
    <row r="26" spans="1:2" x14ac:dyDescent="0.3">
      <c r="A26" s="1">
        <v>10</v>
      </c>
      <c r="B26" t="s">
        <v>129</v>
      </c>
    </row>
    <row r="28" spans="1:2" x14ac:dyDescent="0.3">
      <c r="A28" s="1">
        <v>11</v>
      </c>
      <c r="B28" t="s">
        <v>130</v>
      </c>
    </row>
    <row r="30" spans="1:2" x14ac:dyDescent="0.3">
      <c r="A30" s="1">
        <v>12</v>
      </c>
      <c r="B30" t="s">
        <v>131</v>
      </c>
    </row>
  </sheetData>
  <pageMargins left="0.7" right="0.7" top="0.75" bottom="0.75" header="0.3" footer="0.3"/>
  <pageSetup scale="94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8BC539EE04EA49BA5F6C46B2742AB2" ma:contentTypeVersion="16" ma:contentTypeDescription="Create a new document." ma:contentTypeScope="" ma:versionID="add1500905b20481177f2cd39cd76df3">
  <xsd:schema xmlns:xsd="http://www.w3.org/2001/XMLSchema" xmlns:xs="http://www.w3.org/2001/XMLSchema" xmlns:p="http://schemas.microsoft.com/office/2006/metadata/properties" xmlns:ns2="031a09d6-dd04-46b0-b84d-cb250620c0e9" xmlns:ns3="bb4df57e-ecca-4c81-822d-72125de76e36" targetNamespace="http://schemas.microsoft.com/office/2006/metadata/properties" ma:root="true" ma:fieldsID="9c861ad04f26279fa1a6f2e443915979" ns2:_="" ns3:_="">
    <xsd:import namespace="031a09d6-dd04-46b0-b84d-cb250620c0e9"/>
    <xsd:import namespace="bb4df57e-ecca-4c81-822d-72125de76e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1a09d6-dd04-46b0-b84d-cb250620c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472f85a-06b3-47e5-b273-e3ee90a544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4df57e-ecca-4c81-822d-72125de76e3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506ced8-4ea8-4fba-9b3a-5ae9841b64d6}" ma:internalName="TaxCatchAll" ma:showField="CatchAllData" ma:web="bb4df57e-ecca-4c81-822d-72125de76e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1a09d6-dd04-46b0-b84d-cb250620c0e9">
      <Terms xmlns="http://schemas.microsoft.com/office/infopath/2007/PartnerControls"/>
    </lcf76f155ced4ddcb4097134ff3c332f>
    <TaxCatchAll xmlns="bb4df57e-ecca-4c81-822d-72125de76e3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779AF8-B407-44BF-AA8C-3A636C0917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1a09d6-dd04-46b0-b84d-cb250620c0e9"/>
    <ds:schemaRef ds:uri="bb4df57e-ecca-4c81-822d-72125de76e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0FC56D-B9C4-4D7B-83AB-63212D12039C}">
  <ds:schemaRefs>
    <ds:schemaRef ds:uri="http://www.w3.org/XML/1998/namespace"/>
    <ds:schemaRef ds:uri="http://schemas.microsoft.com/office/2006/documentManagement/types"/>
    <ds:schemaRef ds:uri="http://purl.org/dc/elements/1.1/"/>
    <ds:schemaRef ds:uri="031a09d6-dd04-46b0-b84d-cb250620c0e9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bb4df57e-ecca-4c81-822d-72125de76e36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87580D5-3945-421D-B9F9-F0355C531D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Financial Evaluation </vt:lpstr>
      <vt:lpstr>Assumptions Calculations</vt:lpstr>
      <vt:lpstr>Notes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Chuck Weis</dc:creator>
  <cp:lastModifiedBy>Samantha Di Paola</cp:lastModifiedBy>
  <cp:lastPrinted>2023-12-01T22:04:33Z</cp:lastPrinted>
  <dcterms:created xsi:type="dcterms:W3CDTF">2023-11-04T15:09:35Z</dcterms:created>
  <dcterms:modified xsi:type="dcterms:W3CDTF">2023-12-07T20:58:39Z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0x010100998BC539EE04EA49BA5F6C46B2742AB2</vt:lpwstr>
  </property>
</Properties>
</file>